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<sst xmlns="http://schemas.openxmlformats.org/spreadsheetml/2006/main" count="98" uniqueCount="78">
  <si>
    <t>Paramètres télescope</t>
  </si>
  <si>
    <t>Paramètres spectrographe</t>
  </si>
  <si>
    <t>Focale collimateur (f1) :</t>
  </si>
  <si>
    <t>Focale caméra (f2) :</t>
  </si>
  <si>
    <t>Nombre de traits / mm (m) :</t>
  </si>
  <si>
    <t>Ordre de diffraction (k) :</t>
  </si>
  <si>
    <r>
      <t>Angle total (</t>
    </r>
    <r>
      <rPr>
        <sz val="10"/>
        <rFont val="Symbol"/>
        <family val="1"/>
      </rPr>
      <t>g</t>
    </r>
    <r>
      <rPr>
        <sz val="10"/>
        <rFont val="Arial"/>
        <family val="0"/>
      </rPr>
      <t>) :</t>
    </r>
  </si>
  <si>
    <r>
      <t>Angle d'incidence (</t>
    </r>
    <r>
      <rPr>
        <sz val="10"/>
        <rFont val="Symbol"/>
        <family val="1"/>
      </rPr>
      <t>a</t>
    </r>
    <r>
      <rPr>
        <sz val="10"/>
        <rFont val="Arial"/>
        <family val="0"/>
      </rPr>
      <t>) :</t>
    </r>
  </si>
  <si>
    <r>
      <t>Longueur d'onde calage (</t>
    </r>
    <r>
      <rPr>
        <sz val="10"/>
        <rFont val="Symbol"/>
        <family val="1"/>
      </rPr>
      <t>l</t>
    </r>
    <r>
      <rPr>
        <sz val="10"/>
        <rFont val="Arial"/>
        <family val="0"/>
      </rPr>
      <t>0) :</t>
    </r>
  </si>
  <si>
    <r>
      <t>Angle de diffraction (</t>
    </r>
    <r>
      <rPr>
        <sz val="10"/>
        <rFont val="Symbol"/>
        <family val="1"/>
      </rPr>
      <t>b</t>
    </r>
    <r>
      <rPr>
        <sz val="10"/>
        <rFont val="Arial"/>
        <family val="0"/>
      </rPr>
      <t>) :</t>
    </r>
  </si>
  <si>
    <t>Anamorphose (r) :</t>
  </si>
  <si>
    <t>Paramètres CCD</t>
  </si>
  <si>
    <t>Taille d'un pixel (p) :</t>
  </si>
  <si>
    <t>Nombre de pixels (Nx) :</t>
  </si>
  <si>
    <t>Tirage réseau-objectif (T) :</t>
  </si>
  <si>
    <t>A/pixel</t>
  </si>
  <si>
    <t>mm</t>
  </si>
  <si>
    <t>°</t>
  </si>
  <si>
    <r>
      <t>Dispersion (</t>
    </r>
    <r>
      <rPr>
        <sz val="10"/>
        <rFont val="Symbol"/>
        <family val="1"/>
      </rPr>
      <t>r</t>
    </r>
    <r>
      <rPr>
        <sz val="10"/>
        <rFont val="Arial"/>
        <family val="0"/>
      </rPr>
      <t>) :</t>
    </r>
  </si>
  <si>
    <t>A</t>
  </si>
  <si>
    <r>
      <t>Seeing (</t>
    </r>
    <r>
      <rPr>
        <sz val="10"/>
        <rFont val="Symbol"/>
        <family val="1"/>
      </rPr>
      <t>f</t>
    </r>
    <r>
      <rPr>
        <sz val="10"/>
        <rFont val="Arial"/>
        <family val="0"/>
      </rPr>
      <t>) :</t>
    </r>
  </si>
  <si>
    <t>"</t>
  </si>
  <si>
    <t>FWHMc :</t>
  </si>
  <si>
    <t>microns</t>
  </si>
  <si>
    <t>FWHMo :</t>
  </si>
  <si>
    <t>FWHMd :</t>
  </si>
  <si>
    <t>FWHMt :</t>
  </si>
  <si>
    <t>Facteur d'échantillonnage :</t>
  </si>
  <si>
    <r>
      <t>Lambda min. (</t>
    </r>
    <r>
      <rPr>
        <sz val="10"/>
        <rFont val="Symbol"/>
        <family val="1"/>
      </rPr>
      <t>l</t>
    </r>
    <r>
      <rPr>
        <sz val="10"/>
        <rFont val="Arial"/>
        <family val="0"/>
      </rPr>
      <t>1) :</t>
    </r>
  </si>
  <si>
    <r>
      <t>Lambda max. (</t>
    </r>
    <r>
      <rPr>
        <sz val="10"/>
        <rFont val="Symbol"/>
        <family val="1"/>
      </rPr>
      <t>l</t>
    </r>
    <r>
      <rPr>
        <sz val="10"/>
        <rFont val="Arial"/>
        <family val="0"/>
      </rPr>
      <t>2) :</t>
    </r>
  </si>
  <si>
    <r>
      <t xml:space="preserve">Diamètre objectif à </t>
    </r>
    <r>
      <rPr>
        <sz val="10"/>
        <rFont val="Symbol"/>
        <family val="1"/>
      </rPr>
      <t>l</t>
    </r>
    <r>
      <rPr>
        <sz val="10"/>
        <rFont val="Arial"/>
        <family val="0"/>
      </rPr>
      <t>0 (d2) :</t>
    </r>
  </si>
  <si>
    <t>Pouvoir de résolution (R) :</t>
  </si>
  <si>
    <t>Diamètre (D) :</t>
  </si>
  <si>
    <t>Focale (f) :</t>
  </si>
  <si>
    <t>F/D (F#) :</t>
  </si>
  <si>
    <t>Nombre de photons (E) :</t>
  </si>
  <si>
    <t>photons/cm2/s/A</t>
  </si>
  <si>
    <t>Transmission atmosphérique (Ta) :</t>
  </si>
  <si>
    <t>Transmission télescope (To) :</t>
  </si>
  <si>
    <t>Transmission spectro (Ts) :</t>
  </si>
  <si>
    <t>Fraction intégrée axe trans. (k) :</t>
  </si>
  <si>
    <t>%</t>
  </si>
  <si>
    <t>Temps de pose total (t) :</t>
  </si>
  <si>
    <t>Efficacité (R) :</t>
  </si>
  <si>
    <t>e-/pixel</t>
  </si>
  <si>
    <t>Bruit de lecture (RON) :</t>
  </si>
  <si>
    <t>e-</t>
  </si>
  <si>
    <t>Prétraitement</t>
  </si>
  <si>
    <t>Etoile</t>
  </si>
  <si>
    <t>Nombre de photons du ciel (Ed) :</t>
  </si>
  <si>
    <t>photons/cm2/s/A/arcsec</t>
  </si>
  <si>
    <r>
      <t>Largeur de la fente (w)</t>
    </r>
    <r>
      <rPr>
        <sz val="10"/>
        <rFont val="Arial"/>
        <family val="0"/>
      </rPr>
      <t xml:space="preserve"> :</t>
    </r>
  </si>
  <si>
    <t>Binning axe transverse (fy) :</t>
  </si>
  <si>
    <r>
      <t>Binning axe dispersion (f</t>
    </r>
    <r>
      <rPr>
        <sz val="10"/>
        <rFont val="Symbol"/>
        <family val="1"/>
      </rPr>
      <t>l</t>
    </r>
    <r>
      <rPr>
        <sz val="10"/>
        <rFont val="Arial"/>
        <family val="0"/>
      </rPr>
      <t>) :</t>
    </r>
  </si>
  <si>
    <t>Binning numérique transverse (q) :</t>
  </si>
  <si>
    <t>Signal utile (Nm) :</t>
  </si>
  <si>
    <t>Signal de fond de ciel (Ns) :</t>
  </si>
  <si>
    <t>Signal thermique (Nd) :</t>
  </si>
  <si>
    <t>Nombre de poses élémentaitres (n) :</t>
  </si>
  <si>
    <t>Magnitude du ciel (ms) :</t>
  </si>
  <si>
    <t>Magnitude (m) :</t>
  </si>
  <si>
    <t>Température effective (Te) :</t>
  </si>
  <si>
    <t>K</t>
  </si>
  <si>
    <t>Correction Bolométrique (BC) :</t>
  </si>
  <si>
    <r>
      <t>Buit (</t>
    </r>
    <r>
      <rPr>
        <sz val="10"/>
        <rFont val="Symbol"/>
        <family val="1"/>
      </rPr>
      <t>s</t>
    </r>
    <r>
      <rPr>
        <sz val="10"/>
        <rFont val="Arial"/>
        <family val="0"/>
      </rPr>
      <t>) :</t>
    </r>
  </si>
  <si>
    <r>
      <t>RQE (</t>
    </r>
    <r>
      <rPr>
        <sz val="10"/>
        <rFont val="Symbol"/>
        <family val="1"/>
      </rPr>
      <t>h</t>
    </r>
    <r>
      <rPr>
        <sz val="10"/>
        <rFont val="Arial"/>
        <family val="0"/>
      </rPr>
      <t>) :</t>
    </r>
  </si>
  <si>
    <t>Signal/Bruit (SNR) :</t>
  </si>
  <si>
    <r>
      <t>Obstruction centrale (</t>
    </r>
    <r>
      <rPr>
        <sz val="10"/>
        <rFont val="Symbol"/>
        <family val="1"/>
      </rPr>
      <t>e</t>
    </r>
    <r>
      <rPr>
        <sz val="10"/>
        <rFont val="Arial"/>
        <family val="0"/>
      </rPr>
      <t>) :</t>
    </r>
  </si>
  <si>
    <t>Observation</t>
  </si>
  <si>
    <r>
      <t>Finesse spectrale (</t>
    </r>
    <r>
      <rPr>
        <b/>
        <sz val="10"/>
        <rFont val="Symbol"/>
        <family val="1"/>
      </rPr>
      <t>Dl</t>
    </r>
    <r>
      <rPr>
        <b/>
        <sz val="10"/>
        <rFont val="Arial"/>
        <family val="0"/>
      </rPr>
      <t>) :</t>
    </r>
  </si>
  <si>
    <t>Résultats</t>
  </si>
  <si>
    <t>F/D minimal collimateur (Fc) :</t>
  </si>
  <si>
    <t>Taille minimale réseau (W) :</t>
  </si>
  <si>
    <t>F/D minimal objectif (Fo) :</t>
  </si>
  <si>
    <t>Diamètre minimal collimateur (d1) :</t>
  </si>
  <si>
    <t>Diamètre minimal objectif (d'2) :</t>
  </si>
  <si>
    <t>e-/s/pixel</t>
  </si>
  <si>
    <r>
      <t xml:space="preserve">SIMSPEC V2.2 (11 mars 2003) - Simulation d'un spectrographe à réseau à reflexion - </t>
    </r>
    <r>
      <rPr>
        <b/>
        <sz val="10"/>
        <color indexed="10"/>
        <rFont val="Arial"/>
        <family val="2"/>
      </rPr>
      <t>Christian Buil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</si>
</sst>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sz val="10"/>
      <name val="Symbol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8515625" style="0" customWidth="1"/>
    <col min="2" max="2" width="12.421875" style="0" bestFit="1" customWidth="1"/>
    <col min="3" max="3" width="7.8515625" style="0" customWidth="1"/>
    <col min="4" max="4" width="29.28125" style="0" customWidth="1"/>
    <col min="5" max="5" width="10.8515625" style="0" customWidth="1"/>
    <col min="6" max="6" width="8.8515625" style="0" customWidth="1"/>
    <col min="7" max="7" width="20.28125" style="0" customWidth="1"/>
  </cols>
  <sheetData>
    <row r="1" spans="1:4" ht="15.75">
      <c r="A1" s="7" t="s">
        <v>77</v>
      </c>
      <c r="D1" s="8"/>
    </row>
    <row r="3" spans="1:7" ht="12.75">
      <c r="A3" s="4" t="s">
        <v>0</v>
      </c>
      <c r="D3" s="4" t="s">
        <v>1</v>
      </c>
      <c r="G3" s="4" t="s">
        <v>11</v>
      </c>
    </row>
    <row r="4" spans="1:9" ht="12.75">
      <c r="A4" s="1" t="s">
        <v>32</v>
      </c>
      <c r="B4" s="3">
        <v>200</v>
      </c>
      <c r="C4" t="s">
        <v>16</v>
      </c>
      <c r="D4" s="1" t="s">
        <v>2</v>
      </c>
      <c r="E4" s="14">
        <v>135</v>
      </c>
      <c r="F4" t="s">
        <v>16</v>
      </c>
      <c r="G4" s="1" t="s">
        <v>12</v>
      </c>
      <c r="H4" s="17">
        <v>9</v>
      </c>
      <c r="I4" t="s">
        <v>23</v>
      </c>
    </row>
    <row r="5" spans="1:8" ht="12.75">
      <c r="A5" s="1" t="s">
        <v>33</v>
      </c>
      <c r="B5" s="3">
        <v>1200</v>
      </c>
      <c r="C5" t="s">
        <v>16</v>
      </c>
      <c r="D5" s="1" t="s">
        <v>3</v>
      </c>
      <c r="E5" s="14">
        <v>50</v>
      </c>
      <c r="F5" t="s">
        <v>16</v>
      </c>
      <c r="G5" s="1" t="s">
        <v>13</v>
      </c>
      <c r="H5" s="17">
        <v>768</v>
      </c>
    </row>
    <row r="6" spans="1:9" ht="12.75">
      <c r="A6" s="1" t="s">
        <v>34</v>
      </c>
      <c r="B6" s="5">
        <f>B5/B4</f>
        <v>6</v>
      </c>
      <c r="D6" s="1" t="s">
        <v>4</v>
      </c>
      <c r="E6" s="14">
        <v>600</v>
      </c>
      <c r="G6" s="1" t="s">
        <v>65</v>
      </c>
      <c r="H6" s="17">
        <v>54</v>
      </c>
      <c r="I6" t="s">
        <v>41</v>
      </c>
    </row>
    <row r="7" spans="1:9" ht="12.75">
      <c r="A7" s="1" t="s">
        <v>67</v>
      </c>
      <c r="B7" s="3">
        <v>0.33</v>
      </c>
      <c r="D7" s="1" t="s">
        <v>5</v>
      </c>
      <c r="E7" s="14">
        <v>1</v>
      </c>
      <c r="G7" s="1" t="s">
        <v>45</v>
      </c>
      <c r="H7" s="17">
        <v>18</v>
      </c>
      <c r="I7" t="s">
        <v>44</v>
      </c>
    </row>
    <row r="8" spans="1:9" ht="12.75">
      <c r="A8" s="1" t="s">
        <v>38</v>
      </c>
      <c r="B8" s="3">
        <v>0.85</v>
      </c>
      <c r="D8" s="1" t="s">
        <v>6</v>
      </c>
      <c r="E8" s="14">
        <v>38</v>
      </c>
      <c r="F8" t="s">
        <v>17</v>
      </c>
      <c r="G8" s="1" t="s">
        <v>57</v>
      </c>
      <c r="H8" s="17">
        <v>0.1</v>
      </c>
      <c r="I8" t="s">
        <v>76</v>
      </c>
    </row>
    <row r="9" spans="1:7" ht="12.75">
      <c r="A9" s="1"/>
      <c r="D9" s="1" t="s">
        <v>8</v>
      </c>
      <c r="E9" s="14">
        <v>5500</v>
      </c>
      <c r="F9" t="s">
        <v>19</v>
      </c>
      <c r="G9" s="1"/>
    </row>
    <row r="10" spans="1:7" ht="12.75">
      <c r="A10" s="9" t="s">
        <v>68</v>
      </c>
      <c r="D10" s="1" t="s">
        <v>14</v>
      </c>
      <c r="E10" s="14">
        <v>60</v>
      </c>
      <c r="F10" t="s">
        <v>16</v>
      </c>
      <c r="G10" s="1"/>
    </row>
    <row r="11" spans="1:5" ht="12.75">
      <c r="A11" s="1" t="s">
        <v>20</v>
      </c>
      <c r="B11" s="2">
        <v>3</v>
      </c>
      <c r="C11" t="s">
        <v>21</v>
      </c>
      <c r="D11" s="1" t="s">
        <v>39</v>
      </c>
      <c r="E11" s="14">
        <v>0.42</v>
      </c>
    </row>
    <row r="12" spans="1:6" ht="12.75">
      <c r="A12" s="1" t="s">
        <v>37</v>
      </c>
      <c r="B12" s="2">
        <v>0.75</v>
      </c>
      <c r="D12" s="1" t="s">
        <v>51</v>
      </c>
      <c r="E12" s="14">
        <v>1</v>
      </c>
      <c r="F12" t="s">
        <v>16</v>
      </c>
    </row>
    <row r="13" spans="1:7" ht="12.75">
      <c r="A13" s="1" t="s">
        <v>59</v>
      </c>
      <c r="B13" s="2">
        <v>18</v>
      </c>
      <c r="D13" s="1"/>
      <c r="E13" s="14"/>
      <c r="G13" s="1"/>
    </row>
    <row r="14" spans="1:6" ht="12.75">
      <c r="A14" s="1" t="s">
        <v>42</v>
      </c>
      <c r="B14" s="2">
        <v>300</v>
      </c>
      <c r="D14" s="1" t="s">
        <v>22</v>
      </c>
      <c r="E14" s="14">
        <v>10</v>
      </c>
      <c r="F14" t="s">
        <v>23</v>
      </c>
    </row>
    <row r="15" spans="1:6" ht="12.75">
      <c r="A15" s="1" t="s">
        <v>58</v>
      </c>
      <c r="B15" s="2">
        <v>3</v>
      </c>
      <c r="D15" s="1" t="s">
        <v>24</v>
      </c>
      <c r="E15" s="14">
        <v>18</v>
      </c>
      <c r="F15" t="s">
        <v>23</v>
      </c>
    </row>
    <row r="16" spans="4:5" ht="12.75">
      <c r="D16" s="1"/>
      <c r="E16" s="5"/>
    </row>
    <row r="17" spans="1:5" ht="12.75">
      <c r="A17" s="4" t="s">
        <v>48</v>
      </c>
      <c r="D17" s="9" t="s">
        <v>47</v>
      </c>
      <c r="E17" s="5"/>
    </row>
    <row r="18" spans="1:5" ht="12.75">
      <c r="A18" s="1" t="s">
        <v>60</v>
      </c>
      <c r="B18" s="16">
        <v>11</v>
      </c>
      <c r="D18" s="1" t="s">
        <v>40</v>
      </c>
      <c r="E18" s="15">
        <v>1</v>
      </c>
    </row>
    <row r="19" spans="1:5" ht="12.75">
      <c r="A19" s="1" t="s">
        <v>61</v>
      </c>
      <c r="B19" s="16">
        <v>10000</v>
      </c>
      <c r="C19" t="s">
        <v>62</v>
      </c>
      <c r="D19" s="1" t="s">
        <v>53</v>
      </c>
      <c r="E19" s="15">
        <v>1</v>
      </c>
    </row>
    <row r="20" spans="1:5" ht="12.75">
      <c r="A20" s="1" t="s">
        <v>63</v>
      </c>
      <c r="B20" s="16">
        <v>-0.4</v>
      </c>
      <c r="D20" s="1" t="s">
        <v>52</v>
      </c>
      <c r="E20" s="15">
        <v>1</v>
      </c>
    </row>
    <row r="21" spans="4:5" ht="12.75">
      <c r="D21" s="1" t="s">
        <v>54</v>
      </c>
      <c r="E21" s="15">
        <v>9</v>
      </c>
    </row>
    <row r="22" spans="4:5" ht="12.75">
      <c r="D22" s="1"/>
      <c r="E22" s="5"/>
    </row>
    <row r="23" ht="12.75">
      <c r="A23" s="9" t="s">
        <v>70</v>
      </c>
    </row>
    <row r="24" spans="1:3" ht="12.75">
      <c r="A24" s="1" t="s">
        <v>74</v>
      </c>
      <c r="B24">
        <f>B4*E4/B5</f>
        <v>22.5</v>
      </c>
      <c r="C24" t="s">
        <v>16</v>
      </c>
    </row>
    <row r="25" spans="1:2" ht="12.75">
      <c r="A25" s="1" t="s">
        <v>71</v>
      </c>
      <c r="B25">
        <f>E4/B24</f>
        <v>6</v>
      </c>
    </row>
    <row r="26" spans="1:3" ht="12.75">
      <c r="A26" s="1" t="s">
        <v>7</v>
      </c>
      <c r="B26">
        <f>DEGREES(ASIN(0.0000001*E7*E6*E9/2/COS(RADIANS(E8/2))))+E8/2</f>
        <v>29.049993836008618</v>
      </c>
      <c r="C26" t="s">
        <v>17</v>
      </c>
    </row>
    <row r="27" spans="1:3" ht="12.75">
      <c r="A27" s="1" t="s">
        <v>9</v>
      </c>
      <c r="B27">
        <f>B26-E8</f>
        <v>-8.950006163991382</v>
      </c>
      <c r="C27" t="s">
        <v>17</v>
      </c>
    </row>
    <row r="28" spans="1:3" ht="12.75">
      <c r="A28" s="1" t="s">
        <v>72</v>
      </c>
      <c r="B28">
        <f>B24/COS(RADIANS(B26))</f>
        <v>25.7379248894912</v>
      </c>
      <c r="C28" t="s">
        <v>16</v>
      </c>
    </row>
    <row r="29" spans="1:2" ht="12.75">
      <c r="A29" s="1" t="s">
        <v>10</v>
      </c>
      <c r="B29">
        <f>COS(RADIANS(B26))/COS(RADIANS(B27))</f>
        <v>0.8849713520065232</v>
      </c>
    </row>
    <row r="30" spans="1:3" ht="12.75">
      <c r="A30" s="1" t="s">
        <v>30</v>
      </c>
      <c r="B30">
        <f>E4/B29/B6</f>
        <v>25.424551821914964</v>
      </c>
      <c r="C30" t="s">
        <v>16</v>
      </c>
    </row>
    <row r="31" spans="1:3" ht="12.75">
      <c r="A31" s="1" t="s">
        <v>75</v>
      </c>
      <c r="B31">
        <f>E4/B29/B6+E10*H4*H5/E5/1000</f>
        <v>33.71895182191496</v>
      </c>
      <c r="C31" t="s">
        <v>16</v>
      </c>
    </row>
    <row r="32" spans="1:2" ht="12.75">
      <c r="A32" s="1" t="s">
        <v>73</v>
      </c>
      <c r="B32" s="5">
        <f>E5/B31</f>
        <v>1.4828456194033734</v>
      </c>
    </row>
    <row r="33" ht="12.75">
      <c r="A33" s="1"/>
    </row>
    <row r="34" spans="1:6" ht="12.75">
      <c r="A34" s="1" t="s">
        <v>18</v>
      </c>
      <c r="B34" s="5">
        <f>ABS(10000*H4*E19*COS(RADIANS(B27))/E7/E6/E5)</f>
        <v>2.96347338774337</v>
      </c>
      <c r="C34" t="s">
        <v>15</v>
      </c>
      <c r="D34" s="1" t="s">
        <v>35</v>
      </c>
      <c r="E34">
        <f>8.48E+34*POWER(10,-0.4*(B18+B20))/POWER(B19,4)/POWER(E9,4)/(EXP(144000000/B19/E9)-1)</f>
        <v>0.041953979120831084</v>
      </c>
      <c r="F34" t="s">
        <v>36</v>
      </c>
    </row>
    <row r="35" spans="1:6" ht="12.75">
      <c r="A35" s="1" t="s">
        <v>28</v>
      </c>
      <c r="B35">
        <f>E9-H5*B34/E19/2</f>
        <v>4362.026219106546</v>
      </c>
      <c r="C35" t="s">
        <v>19</v>
      </c>
      <c r="D35" s="1" t="s">
        <v>49</v>
      </c>
      <c r="E35">
        <f>100*POWER(10,-0.4*B13)</f>
        <v>6.309573444801918E-06</v>
      </c>
      <c r="F35" t="s">
        <v>50</v>
      </c>
    </row>
    <row r="36" spans="1:5" ht="12.75">
      <c r="A36" s="1" t="s">
        <v>29</v>
      </c>
      <c r="B36">
        <f>E9+H5*B34/E19/2</f>
        <v>6637.973780893454</v>
      </c>
      <c r="C36" t="s">
        <v>19</v>
      </c>
      <c r="D36" s="1" t="s">
        <v>43</v>
      </c>
      <c r="E36">
        <f>(1-B7*B7)*B12*B8*E11*H6/100</f>
        <v>0.12883969350000002</v>
      </c>
    </row>
    <row r="37" spans="1:6" ht="12.75">
      <c r="A37" s="1" t="s">
        <v>25</v>
      </c>
      <c r="B37">
        <f>0.0001*E5*E9/(E4/B29/B6)</f>
        <v>1.0816316524524174</v>
      </c>
      <c r="C37" t="s">
        <v>23</v>
      </c>
      <c r="D37" s="1" t="s">
        <v>55</v>
      </c>
      <c r="E37">
        <f>0.25*PI()*E34*E36*B4*B4*B34*E18*B14/100</f>
        <v>1509.715103115999</v>
      </c>
      <c r="F37" t="s">
        <v>44</v>
      </c>
    </row>
    <row r="38" spans="1:6" ht="12.75">
      <c r="A38" s="1" t="s">
        <v>26</v>
      </c>
      <c r="B38">
        <f>1000*SQRT(POWER(B29*E5/E4,2)*(POWER(B11*PI()/648000,2)*B5*B5+POWER(E14/1000,2))+POWER(E15/1000,2)+POWER(B37/1000,2)+POWER(E19*H4/1000,2))</f>
        <v>21.204681297503345</v>
      </c>
      <c r="C38" t="s">
        <v>23</v>
      </c>
      <c r="D38" s="1" t="s">
        <v>56</v>
      </c>
      <c r="E38">
        <f>106300000*PI()*E35*E36*B34*E20*H4/1000*E12*B14*E4/E5/B6/B6</f>
        <v>162.91417720178856</v>
      </c>
      <c r="F38" t="s">
        <v>44</v>
      </c>
    </row>
    <row r="39" spans="1:6" ht="12.75">
      <c r="A39" s="1" t="s">
        <v>27</v>
      </c>
      <c r="B39">
        <f>B38/2/H4/E19</f>
        <v>1.178037849861297</v>
      </c>
      <c r="D39" s="1" t="s">
        <v>64</v>
      </c>
      <c r="E39">
        <f>SQRT(E37+E21*E38+H8*E21*B14*E19*E20+E21*B15*H7*H7)</f>
        <v>109.51686033635231</v>
      </c>
      <c r="F39" t="s">
        <v>46</v>
      </c>
    </row>
    <row r="40" spans="1:5" ht="12.75">
      <c r="A40" s="10" t="s">
        <v>31</v>
      </c>
      <c r="B40" s="11">
        <f>IF(B39&lt;1,ABS(1000*B29*E5/2/H4/E19*(TAN(RADIANS(B26))+SIN(RADIANS(B27))/COS(RADIANS(B26)))),ABS(1000*B29*E5/B38*(TAN(RADIANS(B26))+SIN(RADIANS(B27))/COS(RADIANS(B26)))))</f>
        <v>787.7209896720593</v>
      </c>
      <c r="C40" s="12"/>
      <c r="D40" s="6" t="s">
        <v>66</v>
      </c>
      <c r="E40" s="13">
        <f>E37/E39</f>
        <v>13.785229949793164</v>
      </c>
    </row>
    <row r="41" spans="1:3" ht="12.75">
      <c r="A41" s="10" t="s">
        <v>69</v>
      </c>
      <c r="B41" s="13">
        <f>E9/B40</f>
        <v>6.982167635636746</v>
      </c>
      <c r="C41" s="12" t="s">
        <v>19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CNES</dc:creator>
  <cp:keywords/>
  <dc:description/>
  <cp:lastModifiedBy>Altair</cp:lastModifiedBy>
  <dcterms:created xsi:type="dcterms:W3CDTF">2003-03-05T12:36:55Z</dcterms:created>
  <dcterms:modified xsi:type="dcterms:W3CDTF">2003-03-23T23:06:24Z</dcterms:modified>
  <cp:category/>
  <cp:version/>
  <cp:contentType/>
  <cp:contentStatus/>
</cp:coreProperties>
</file>